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IRVING\3ER TRIMESTRE\FRACCION VII\"/>
    </mc:Choice>
  </mc:AlternateContent>
  <xr:revisionPtr revIDLastSave="0" documentId="13_ncr:1_{AE9EEF7D-C695-4854-8A05-FC5FEA5B6073}" xr6:coauthVersionLast="47" xr6:coauthVersionMax="47" xr10:uidLastSave="{00000000-0000-0000-0000-000000000000}"/>
  <bookViews>
    <workbookView xWindow="-108" yWindow="-108" windowWidth="23256" windowHeight="12456" xr2:uid="{4AC529E8-FF5D-41F8-9481-7FAC5178F248}"/>
  </bookViews>
  <sheets>
    <sheet name="2DA QNA SEPTIEMBRE " sheetId="1" r:id="rId1"/>
  </sheets>
  <definedNames>
    <definedName name="_xlnm.Print_Area" localSheetId="0">'2DA QNA SEPTIEMBRE '!$A$1:$AC$28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28" i="1" l="1"/>
  <c r="Z28" i="1"/>
  <c r="Y28" i="1"/>
  <c r="X28" i="1"/>
  <c r="W28" i="1"/>
  <c r="V28" i="1"/>
  <c r="U28" i="1"/>
  <c r="S28" i="1"/>
  <c r="Q28" i="1"/>
  <c r="P28" i="1"/>
  <c r="N28" i="1"/>
  <c r="M28" i="1"/>
  <c r="L28" i="1"/>
  <c r="K28" i="1"/>
  <c r="J28" i="1"/>
  <c r="I28" i="1"/>
  <c r="H28" i="1"/>
  <c r="F28" i="1"/>
  <c r="O27" i="1"/>
  <c r="R27" i="1" s="1"/>
  <c r="AC26" i="1"/>
  <c r="AB26" i="1"/>
  <c r="R26" i="1"/>
  <c r="AB25" i="1"/>
  <c r="O25" i="1"/>
  <c r="R25" i="1" s="1"/>
  <c r="AC25" i="1" s="1"/>
  <c r="R24" i="1"/>
  <c r="T24" i="1" s="1"/>
  <c r="AB24" i="1" s="1"/>
  <c r="AC24" i="1" s="1"/>
  <c r="O24" i="1"/>
  <c r="O23" i="1"/>
  <c r="R23" i="1" s="1"/>
  <c r="R22" i="1"/>
  <c r="O22" i="1"/>
  <c r="O21" i="1"/>
  <c r="R21" i="1" s="1"/>
  <c r="R20" i="1"/>
  <c r="R19" i="1"/>
  <c r="T19" i="1" s="1"/>
  <c r="AB19" i="1" s="1"/>
  <c r="AC19" i="1" s="1"/>
  <c r="R18" i="1"/>
  <c r="AB17" i="1"/>
  <c r="AC17" i="1" s="1"/>
  <c r="R17" i="1"/>
  <c r="H16" i="1"/>
  <c r="R16" i="1" s="1"/>
  <c r="R15" i="1"/>
  <c r="T15" i="1" s="1"/>
  <c r="AB15" i="1" s="1"/>
  <c r="AC15" i="1" s="1"/>
  <c r="G15" i="1"/>
  <c r="G28" i="1" s="1"/>
  <c r="R14" i="1"/>
  <c r="T13" i="1"/>
  <c r="AB13" i="1" s="1"/>
  <c r="AC13" i="1" s="1"/>
  <c r="R13" i="1"/>
  <c r="R12" i="1"/>
  <c r="T11" i="1"/>
  <c r="AB11" i="1" s="1"/>
  <c r="AC11" i="1" s="1"/>
  <c r="R11" i="1"/>
  <c r="R10" i="1"/>
  <c r="O9" i="1"/>
  <c r="R9" i="1" s="1"/>
  <c r="R8" i="1"/>
  <c r="O8" i="1"/>
  <c r="O7" i="1"/>
  <c r="R7" i="1" s="1"/>
  <c r="R6" i="1"/>
  <c r="T6" i="1" s="1"/>
  <c r="O6" i="1"/>
  <c r="O28" i="1" s="1"/>
  <c r="AC8" i="1" l="1"/>
  <c r="T16" i="1"/>
  <c r="AB16" i="1" s="1"/>
  <c r="AC16" i="1" s="1"/>
  <c r="AC12" i="1"/>
  <c r="AC20" i="1"/>
  <c r="T9" i="1"/>
  <c r="AB9" i="1" s="1"/>
  <c r="AC9" i="1" s="1"/>
  <c r="T21" i="1"/>
  <c r="AB21" i="1" s="1"/>
  <c r="AC21" i="1" s="1"/>
  <c r="T23" i="1"/>
  <c r="AB23" i="1" s="1"/>
  <c r="AC23" i="1" s="1"/>
  <c r="T27" i="1"/>
  <c r="AB27" i="1" s="1"/>
  <c r="AC27" i="1" s="1"/>
  <c r="T28" i="1"/>
  <c r="AB6" i="1"/>
  <c r="T7" i="1"/>
  <c r="AB7" i="1" s="1"/>
  <c r="AC7" i="1" s="1"/>
  <c r="R28" i="1"/>
  <c r="AC18" i="1"/>
  <c r="T8" i="1"/>
  <c r="AB8" i="1" s="1"/>
  <c r="T10" i="1"/>
  <c r="AB10" i="1" s="1"/>
  <c r="AC10" i="1" s="1"/>
  <c r="T14" i="1"/>
  <c r="AB14" i="1" s="1"/>
  <c r="AC14" i="1" s="1"/>
  <c r="T18" i="1"/>
  <c r="AB18" i="1" s="1"/>
  <c r="T20" i="1"/>
  <c r="AB20" i="1" s="1"/>
  <c r="T12" i="1"/>
  <c r="AB12" i="1" s="1"/>
  <c r="T22" i="1"/>
  <c r="AB22" i="1" s="1"/>
  <c r="AC22" i="1" s="1"/>
  <c r="R29" i="1"/>
  <c r="AC6" i="1" l="1"/>
  <c r="AC28" i="1" s="1"/>
  <c r="AC29" i="1" s="1"/>
  <c r="AB28" i="1"/>
  <c r="AB1" i="1" l="1"/>
</calcChain>
</file>

<file path=xl/sharedStrings.xml><?xml version="1.0" encoding="utf-8"?>
<sst xmlns="http://schemas.openxmlformats.org/spreadsheetml/2006/main" count="122" uniqueCount="53">
  <si>
    <t>NOMINA QUINCENAL COMISION DE AGUA POTABLE Y ALCANTARILLADO DEL MUNICIPIO DE IXTLAHUACAN, COLIMA</t>
  </si>
  <si>
    <t xml:space="preserve">PERIODO QUINCENAL </t>
  </si>
  <si>
    <t>hu</t>
  </si>
  <si>
    <t>EMPLEADO</t>
  </si>
  <si>
    <t>PUESTO</t>
  </si>
  <si>
    <t>TIPO DE TRABAJADOR</t>
  </si>
  <si>
    <t>CATEGORIA DE TRABAJADOR</t>
  </si>
  <si>
    <t>FORMA DE PAGO</t>
  </si>
  <si>
    <t>SUELDO</t>
  </si>
  <si>
    <t>CANASTA BASICA</t>
  </si>
  <si>
    <t xml:space="preserve">COMPENSACION </t>
  </si>
  <si>
    <t>COMPENSACION EXTRAORIDNARIA</t>
  </si>
  <si>
    <t>PREVISION SOCIAL</t>
  </si>
  <si>
    <t>AYUDA P/R</t>
  </si>
  <si>
    <t>AYUDA P/T</t>
  </si>
  <si>
    <t>COMP. ALTO R.</t>
  </si>
  <si>
    <t>FONDO DE AHORRO</t>
  </si>
  <si>
    <t>QUINQUENIO</t>
  </si>
  <si>
    <t>BONO DE CUMPLEAÑOS</t>
  </si>
  <si>
    <t>BONO DE CUMPLEAÑOS2</t>
  </si>
  <si>
    <t>TOTAL PERCEPCIONES</t>
  </si>
  <si>
    <t>ISR</t>
  </si>
  <si>
    <t>CUOTA DE PENSIONES</t>
  </si>
  <si>
    <t>F/AHORRO</t>
  </si>
  <si>
    <t>C.INTERNA</t>
  </si>
  <si>
    <t>CUOTA SINDICAL</t>
  </si>
  <si>
    <t>DESC. PPS</t>
  </si>
  <si>
    <t>PROGRESSA</t>
  </si>
  <si>
    <t>ANTICIPO DE NOMINA</t>
  </si>
  <si>
    <t>PRESTAMO F/AHORRO</t>
  </si>
  <si>
    <t>TOTAL DEDUCCIONES</t>
  </si>
  <si>
    <t>NETO A PAGAR</t>
  </si>
  <si>
    <t>FONTANERO</t>
  </si>
  <si>
    <t>SINDICATO</t>
  </si>
  <si>
    <t>SINDICALIZADO</t>
  </si>
  <si>
    <t>DISPERSION BANCARIA</t>
  </si>
  <si>
    <t>AUXILIAR ADMINISTRATIVO</t>
  </si>
  <si>
    <t>REPARADOR DE FUGAS</t>
  </si>
  <si>
    <t xml:space="preserve">DIRECTOR GENERAL </t>
  </si>
  <si>
    <t>CONFIANZA</t>
  </si>
  <si>
    <t>SUBDIRECTOR OPERATIVO</t>
  </si>
  <si>
    <t>OPERADORA EQUIPO DE BOMBEO</t>
  </si>
  <si>
    <t>OPERADOR EQUIPO DE BOMBEO</t>
  </si>
  <si>
    <t>BASE</t>
  </si>
  <si>
    <t>FONTANERA</t>
  </si>
  <si>
    <t>OPERADOR EQUIPO B.</t>
  </si>
  <si>
    <t>CHOFER ENCARGADO DE LA CLORACION</t>
  </si>
  <si>
    <t>BOMBEO</t>
  </si>
  <si>
    <t>PENSIONADA</t>
  </si>
  <si>
    <t>SINDICALIZADA PENSIONADA</t>
  </si>
  <si>
    <t>PEON</t>
  </si>
  <si>
    <t>Total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</si>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</sst>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&quot;$&quot;#,##0.00"/>
    <numFmt numFmtId="165" formatCode="_(&quot;$&quot;* #,##0.00_);_(&quot;$&quot;* \(#,##0.00\);_(&quot;$&quot;* &quot;-&quot;??_);_(@_)"/>
    <numFmt numFmtId="166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sz val="11"/>
      <color theme="1"/>
      <name val="Calibri"/>
      <scheme val="minor"/>
    </font>
    <font>
      <sz val="1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theme="4" tint="0.79998168889431442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1">
    <xf numFmtId="0" fontId="0" fillId="0" borderId="0" xfId="0"/>
    <xf numFmtId="0" fontId="0" fillId="2" borderId="0" xfId="0" applyFill="1"/>
    <xf numFmtId="0" fontId="4" fillId="2" borderId="0" xfId="0" applyFont="1" applyFill="1"/>
    <xf numFmtId="44" fontId="0" fillId="2" borderId="0" xfId="1" applyFont="1" applyFill="1"/>
    <xf numFmtId="164" fontId="0" fillId="2" borderId="0" xfId="1" applyNumberFormat="1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/>
    </xf>
    <xf numFmtId="14" fontId="7" fillId="2" borderId="7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164" fontId="8" fillId="2" borderId="0" xfId="1" applyNumberFormat="1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44" fontId="0" fillId="5" borderId="0" xfId="1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44" fontId="4" fillId="2" borderId="0" xfId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0" fillId="2" borderId="0" xfId="1" applyNumberFormat="1" applyFont="1" applyFill="1" applyAlignment="1">
      <alignment horizontal="center" vertical="center"/>
    </xf>
    <xf numFmtId="0" fontId="0" fillId="8" borderId="9" xfId="0" applyFill="1" applyBorder="1" applyAlignment="1">
      <alignment horizontal="center"/>
    </xf>
    <xf numFmtId="0" fontId="0" fillId="0" borderId="0" xfId="0" applyAlignment="1">
      <alignment horizontal="center"/>
    </xf>
    <xf numFmtId="44" fontId="1" fillId="0" borderId="0" xfId="1" applyFont="1" applyAlignment="1">
      <alignment horizontal="center"/>
    </xf>
    <xf numFmtId="44" fontId="0" fillId="0" borderId="0" xfId="1" applyFont="1"/>
    <xf numFmtId="165" fontId="0" fillId="0" borderId="0" xfId="0" applyNumberFormat="1"/>
    <xf numFmtId="2" fontId="4" fillId="0" borderId="0" xfId="0" applyNumberFormat="1" applyFont="1" applyAlignment="1">
      <alignment horizontal="center"/>
    </xf>
    <xf numFmtId="44" fontId="4" fillId="2" borderId="10" xfId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164" fontId="0" fillId="2" borderId="0" xfId="1" applyNumberFormat="1" applyFont="1" applyFill="1" applyAlignment="1">
      <alignment horizontal="center"/>
    </xf>
    <xf numFmtId="0" fontId="0" fillId="0" borderId="9" xfId="0" applyBorder="1" applyAlignment="1">
      <alignment horizontal="center"/>
    </xf>
    <xf numFmtId="44" fontId="0" fillId="0" borderId="0" xfId="1" applyFont="1" applyFill="1"/>
    <xf numFmtId="44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1" applyNumberFormat="1" applyFont="1" applyFill="1" applyAlignment="1">
      <alignment horizontal="center"/>
    </xf>
    <xf numFmtId="44" fontId="1" fillId="0" borderId="0" xfId="1" applyFont="1" applyFill="1"/>
    <xf numFmtId="44" fontId="0" fillId="2" borderId="0" xfId="0" applyNumberFormat="1" applyFill="1" applyAlignment="1">
      <alignment horizontal="center"/>
    </xf>
    <xf numFmtId="44" fontId="4" fillId="0" borderId="10" xfId="1" applyFont="1" applyFill="1" applyBorder="1" applyAlignment="1">
      <alignment horizontal="center"/>
    </xf>
    <xf numFmtId="164" fontId="1" fillId="0" borderId="0" xfId="1" applyNumberFormat="1" applyFont="1" applyFill="1" applyAlignment="1">
      <alignment horizontal="center"/>
    </xf>
    <xf numFmtId="0" fontId="1" fillId="0" borderId="9" xfId="0" applyFont="1" applyBorder="1" applyAlignment="1">
      <alignment horizontal="center"/>
    </xf>
    <xf numFmtId="44" fontId="0" fillId="0" borderId="0" xfId="1" applyFont="1" applyAlignment="1">
      <alignment horizontal="center"/>
    </xf>
    <xf numFmtId="44" fontId="0" fillId="0" borderId="0" xfId="1" applyFont="1" applyAlignment="1">
      <alignment horizontal="right"/>
    </xf>
    <xf numFmtId="0" fontId="1" fillId="8" borderId="9" xfId="0" applyFont="1" applyFill="1" applyBorder="1" applyAlignment="1">
      <alignment horizontal="center"/>
    </xf>
    <xf numFmtId="44" fontId="0" fillId="0" borderId="0" xfId="1" applyFont="1" applyFill="1" applyAlignment="1">
      <alignment horizontal="center"/>
    </xf>
    <xf numFmtId="0" fontId="11" fillId="8" borderId="9" xfId="0" applyFont="1" applyFill="1" applyBorder="1" applyAlignment="1">
      <alignment horizontal="center"/>
    </xf>
    <xf numFmtId="44" fontId="11" fillId="0" borderId="0" xfId="1" applyFont="1" applyAlignment="1">
      <alignment horizontal="center"/>
    </xf>
    <xf numFmtId="44" fontId="11" fillId="0" borderId="0" xfId="1" applyFont="1"/>
    <xf numFmtId="44" fontId="4" fillId="0" borderId="0" xfId="1" applyFont="1" applyAlignment="1">
      <alignment horizontal="center"/>
    </xf>
    <xf numFmtId="165" fontId="11" fillId="0" borderId="0" xfId="1" applyNumberFormat="1" applyFont="1"/>
    <xf numFmtId="2" fontId="0" fillId="0" borderId="0" xfId="1" applyNumberFormat="1" applyFont="1" applyAlignment="1">
      <alignment horizontal="center"/>
    </xf>
    <xf numFmtId="2" fontId="0" fillId="0" borderId="0" xfId="1" applyNumberFormat="1" applyFont="1" applyFill="1" applyAlignment="1">
      <alignment horizontal="center"/>
    </xf>
    <xf numFmtId="165" fontId="0" fillId="0" borderId="0" xfId="1" applyNumberFormat="1" applyFont="1" applyAlignment="1">
      <alignment horizontal="center"/>
    </xf>
    <xf numFmtId="0" fontId="0" fillId="9" borderId="9" xfId="0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44" fontId="4" fillId="2" borderId="11" xfId="1" applyFont="1" applyFill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64" fontId="4" fillId="0" borderId="0" xfId="0" applyNumberFormat="1" applyFont="1"/>
    <xf numFmtId="164" fontId="4" fillId="0" borderId="0" xfId="0" applyNumberFormat="1" applyFont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44" fontId="0" fillId="0" borderId="0" xfId="0" applyNumberFormat="1"/>
    <xf numFmtId="44" fontId="4" fillId="0" borderId="0" xfId="1" applyFont="1"/>
    <xf numFmtId="166" fontId="4" fillId="0" borderId="0" xfId="0" applyNumberFormat="1" applyFont="1"/>
    <xf numFmtId="0" fontId="12" fillId="0" borderId="0" xfId="0" applyFont="1"/>
    <xf numFmtId="44" fontId="12" fillId="0" borderId="0" xfId="0" applyNumberFormat="1" applyFont="1"/>
    <xf numFmtId="0" fontId="4" fillId="0" borderId="0" xfId="0" applyFont="1"/>
  </cellXfs>
  <cellStyles count="2">
    <cellStyle name="Moneda" xfId="1" builtinId="4"/>
    <cellStyle name="Normal" xfId="0" builtinId="0"/>
  </cellStyles>
  <dxfs count="57">
    <dxf>
      <font>
        <b/>
      </font>
      <numFmt numFmtId="2" formatCode="0.00"/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numFmt numFmtId="2" formatCode="0.00"/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(&quot;$&quot;* #,##0.00_);_(&quot;$&quot;* \(#,##0.00\);_(&quot;$&quot;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font>
        <b/>
      </font>
      <numFmt numFmtId="34" formatCode="_-&quot;$&quot;* #,##0.00_-;\-&quot;$&quot;* #,##0.00_-;_-&quot;$&quot;* &quot;-&quot;??_-;_-@_-"/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/>
        <bottom/>
      </border>
    </dxf>
    <dxf>
      <font>
        <b/>
      </font>
      <numFmt numFmtId="164" formatCode="&quot;$&quot;#,##0.0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numFmt numFmtId="164" formatCode="&quot;$&quot;#,##0.00"/>
      <alignment horizont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DE2C8A-4F9A-4BE0-BE95-6B09BE3B5750}" name="NOMINA" displayName="NOMINA" ref="A5:AB28" totalsRowCount="1" headerRowDxfId="56" dataDxfId="55" totalsRowDxfId="54">
  <autoFilter ref="A5:AB27" xr:uid="{00000000-0009-0000-0100-000002000000}"/>
  <tableColumns count="28">
    <tableColumn id="1" xr3:uid="{E029639D-9AB1-477D-98C6-66B29F4C882D}" name="EMPLEADO" totalsRowLabel="Total" dataDxfId="52" totalsRowDxfId="53"/>
    <tableColumn id="7" xr3:uid="{7343617B-17DB-40D8-ACA1-C66513AB118C}" name="PUESTO" dataDxfId="50" totalsRowDxfId="51"/>
    <tableColumn id="8" xr3:uid="{62E3DB60-40EF-4388-B7FA-A27F68A6242D}" name="TIPO DE TRABAJADOR" dataDxfId="48" totalsRowDxfId="49"/>
    <tableColumn id="14" xr3:uid="{2A1FF10F-CE07-4B80-8E1E-ECE99C884FA4}" name="CATEGORIA DE TRABAJADOR" dataDxfId="46" totalsRowDxfId="47"/>
    <tableColumn id="31" xr3:uid="{6E7564D2-B5C5-4B16-B8DF-6257BB91D006}" name="FORMA DE PAGO" totalsRowLabel="-" dataDxfId="44" totalsRowDxfId="45"/>
    <tableColumn id="4" xr3:uid="{791D41C0-09FD-4BAC-90CD-BADFE7016D97}" name="SUELDO" totalsRowFunction="sum" dataDxfId="42" totalsRowDxfId="43" dataCellStyle="Moneda"/>
    <tableColumn id="5" xr3:uid="{00A998AE-622B-4797-AF78-F4CE7B331F17}" name="CANASTA BASICA" totalsRowFunction="sum" dataDxfId="40" totalsRowDxfId="41" dataCellStyle="Moneda"/>
    <tableColumn id="9" xr3:uid="{F37FC22E-CEA7-45D2-A515-7F9B2AC22340}" name="COMPENSACION " totalsRowFunction="sum" dataDxfId="38" totalsRowDxfId="39" dataCellStyle="Moneda"/>
    <tableColumn id="17" xr3:uid="{6160796E-7BA0-4370-A7A8-012641A4501C}" name="COMPENSACION EXTRAORIDNARIA" totalsRowFunction="sum" dataDxfId="36" totalsRowDxfId="37" dataCellStyle="Moneda"/>
    <tableColumn id="33" xr3:uid="{DDED9285-8423-4F5D-8A0E-7C1C8D4D551B}" name="PREVISION SOCIAL" totalsRowFunction="sum" dataDxfId="34" totalsRowDxfId="35" dataCellStyle="Moneda"/>
    <tableColumn id="15" xr3:uid="{E0946D88-3AA3-43A3-914F-F529A39A1512}" name="AYUDA P/R" totalsRowFunction="sum" dataDxfId="32" totalsRowDxfId="33" dataCellStyle="Moneda"/>
    <tableColumn id="19" xr3:uid="{C72A49BD-21E1-4C74-8344-B790316B06FB}" name="AYUDA P/T" totalsRowFunction="sum" dataDxfId="30" totalsRowDxfId="31" dataCellStyle="Moneda"/>
    <tableColumn id="20" xr3:uid="{8CE8ACA7-828E-4F67-8C46-E7615C604354}" name="COMP. ALTO R." totalsRowFunction="sum" dataDxfId="28" totalsRowDxfId="29" dataCellStyle="Moneda"/>
    <tableColumn id="22" xr3:uid="{641C47BF-0760-4BD1-BE8D-263BCEA0A803}" name="FONDO DE AHORRO" totalsRowFunction="sum" dataDxfId="26" totalsRowDxfId="27" dataCellStyle="Moneda"/>
    <tableColumn id="21" xr3:uid="{E08A40D7-7F34-4BB2-B04C-DF3CC71F54FF}" name="QUINQUENIO" totalsRowFunction="sum" dataDxfId="24" totalsRowDxfId="25" dataCellStyle="Moneda"/>
    <tableColumn id="10" xr3:uid="{C94CBB72-511D-4D30-BBA2-C2F3F3504EE2}" name="BONO DE CUMPLEAÑOS" totalsRowFunction="sum" dataDxfId="22" totalsRowDxfId="23" dataCellStyle="Moneda">
      <calculatedColumnFormula>NOMINA[[#This Row],[SUELDO]]/15</calculatedColumnFormula>
    </tableColumn>
    <tableColumn id="23" xr3:uid="{F6AE2497-7B6B-4B94-B26C-8C625143A8FE}" name="BONO DE CUMPLEAÑOS2" totalsRowFunction="sum" dataDxfId="20" totalsRowDxfId="21" dataCellStyle="Moneda"/>
    <tableColumn id="11" xr3:uid="{D1FB3E4F-1566-4931-97E9-F3BD1A6FE693}" name="TOTAL PERCEPCIONES" totalsRowFunction="sum" dataDxfId="18" totalsRowDxfId="19" dataCellStyle="Moneda">
      <calculatedColumnFormula>SUM(F6:Q6)</calculatedColumnFormula>
    </tableColumn>
    <tableColumn id="6" xr3:uid="{8C491370-431B-41CF-AB1B-5369E0A045EC}" name="ISR" totalsRowFunction="sum" dataDxfId="16" totalsRowDxfId="17" dataCellStyle="Moneda"/>
    <tableColumn id="13" xr3:uid="{D75C24F6-957F-47BF-9E71-A6046FF28AC8}" name="CUOTA DE PENSIONES" totalsRowFunction="sum" dataDxfId="14" totalsRowDxfId="15" dataCellStyle="Moneda"/>
    <tableColumn id="26" xr3:uid="{A2AD124D-2753-4B4D-8E5E-01E21F15701B}" name="F/AHORRO" totalsRowFunction="sum" dataDxfId="12" totalsRowDxfId="13" dataCellStyle="Moneda"/>
    <tableColumn id="24" xr3:uid="{DB1F44E5-B96E-456C-B734-ABF26AB1C350}" name="C.INTERNA" totalsRowFunction="sum" dataDxfId="10" totalsRowDxfId="11" dataCellStyle="Moneda"/>
    <tableColumn id="25" xr3:uid="{82DDE476-03B9-46D0-9C83-5627B9773313}" name="CUOTA SINDICAL" totalsRowFunction="sum" dataDxfId="8" totalsRowDxfId="9" dataCellStyle="Moneda"/>
    <tableColumn id="16" xr3:uid="{3416047E-6F32-4F7C-91EB-401CA862CE08}" name="DESC. PPS" totalsRowFunction="sum" dataDxfId="6" totalsRowDxfId="7" dataCellStyle="Moneda"/>
    <tableColumn id="27" xr3:uid="{B394384C-B41E-45B4-8FA5-5841C724CCD0}" name="PROGRESSA" totalsRowFunction="sum" dataDxfId="4" totalsRowDxfId="5" dataCellStyle="Moneda"/>
    <tableColumn id="28" xr3:uid="{6BBD38F9-5EAA-4721-ABB6-00F2535D086A}" name="ANTICIPO DE NOMINA" totalsRowFunction="sum" totalsRowDxfId="3"/>
    <tableColumn id="3" xr3:uid="{55607209-A46D-4DB0-9C8F-388EFA657D95}" name="PRESTAMO F/AHORRO" totalsRowFunction="sum" totalsRowDxfId="2"/>
    <tableColumn id="18" xr3:uid="{2C91D765-C218-4902-9C74-F640AE98F6DB}" name="TOTAL DEDUCCIONES" totalsRowFunction="sum" dataDxfId="0" totalsRowDxfId="1">
      <calculatedColumnFormula>SUM(S6:Y6)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5938-41FA-4513-B2CF-9CD3A697A926}">
  <sheetPr codeName="Hoja5"/>
  <dimension ref="A1:AI36"/>
  <sheetViews>
    <sheetView tabSelected="1" topLeftCell="A17" zoomScaleNormal="100" zoomScaleSheetLayoutView="124" workbookViewId="0">
      <selection activeCell="A30" sqref="A30:XFD59"/>
    </sheetView>
  </sheetViews>
  <sheetFormatPr baseColWidth="10" defaultRowHeight="14.4" x14ac:dyDescent="0.3"/>
  <cols>
    <col min="1" max="1" width="16" customWidth="1"/>
    <col min="2" max="2" width="34.5546875" bestFit="1" customWidth="1"/>
    <col min="3" max="3" width="23.88671875" bestFit="1" customWidth="1"/>
    <col min="4" max="4" width="29.77734375" bestFit="1" customWidth="1"/>
    <col min="5" max="5" width="20" bestFit="1" customWidth="1"/>
    <col min="6" max="6" width="12.21875" bestFit="1" customWidth="1"/>
    <col min="7" max="7" width="23.6640625" bestFit="1" customWidth="1"/>
    <col min="8" max="8" width="19.88671875" bestFit="1" customWidth="1"/>
    <col min="9" max="9" width="35.109375" bestFit="1" customWidth="1"/>
    <col min="10" max="10" width="21.21875" bestFit="1" customWidth="1"/>
    <col min="11" max="11" width="14.88671875" bestFit="1" customWidth="1"/>
    <col min="12" max="12" width="22.21875" bestFit="1" customWidth="1"/>
    <col min="13" max="13" width="18.21875" bestFit="1" customWidth="1"/>
    <col min="14" max="14" width="22.21875" bestFit="1" customWidth="1"/>
    <col min="15" max="15" width="16.77734375" bestFit="1" customWidth="1"/>
    <col min="16" max="16" width="25.77734375" hidden="1" customWidth="1"/>
    <col min="17" max="17" width="26.77734375" hidden="1" customWidth="1"/>
    <col min="18" max="18" width="24.77734375" style="80" bestFit="1" customWidth="1"/>
    <col min="19" max="19" width="10.5546875" style="37" bestFit="1" customWidth="1"/>
    <col min="20" max="20" width="49.21875" bestFit="1" customWidth="1"/>
    <col min="21" max="22" width="24.21875" bestFit="1" customWidth="1"/>
    <col min="23" max="23" width="33" customWidth="1"/>
    <col min="24" max="24" width="24.21875" bestFit="1" customWidth="1"/>
    <col min="25" max="25" width="16.21875" bestFit="1" customWidth="1"/>
    <col min="26" max="26" width="25.44140625" bestFit="1" customWidth="1"/>
    <col min="27" max="27" width="16.21875" customWidth="1"/>
    <col min="28" max="28" width="24.44140625" style="80" bestFit="1" customWidth="1"/>
    <col min="29" max="29" width="14.77734375" style="1" bestFit="1" customWidth="1"/>
    <col min="30" max="30" width="6.21875" style="1" bestFit="1" customWidth="1"/>
    <col min="31" max="31" width="13.21875" style="1" bestFit="1" customWidth="1"/>
    <col min="32" max="33" width="11.5546875" style="1"/>
    <col min="34" max="34" width="14.21875" style="2" bestFit="1" customWidth="1"/>
    <col min="35" max="35" width="11.5546875" style="4"/>
  </cols>
  <sheetData>
    <row r="1" spans="1:35" s="1" customFormat="1" ht="15" thickBot="1" x14ac:dyDescent="0.35">
      <c r="R1" s="2"/>
      <c r="S1" s="3"/>
      <c r="AB1" s="2">
        <f ca="1">A:AC</f>
        <v>0</v>
      </c>
      <c r="AH1" s="2"/>
      <c r="AI1" s="4"/>
    </row>
    <row r="2" spans="1:35" s="1" customFormat="1" ht="36" customHeight="1" thickBot="1" x14ac:dyDescent="0.3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7"/>
      <c r="AA2" s="7"/>
      <c r="AB2" s="8" t="s">
        <v>1</v>
      </c>
      <c r="AC2" s="9"/>
      <c r="AD2" s="10"/>
      <c r="AE2" s="10"/>
      <c r="AF2" s="10"/>
      <c r="AG2" s="10"/>
      <c r="AH2" s="10"/>
      <c r="AI2" s="4"/>
    </row>
    <row r="3" spans="1:35" s="1" customFormat="1" ht="18.75" customHeight="1" thickBot="1" x14ac:dyDescent="0.3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3"/>
      <c r="AA3" s="13"/>
      <c r="AB3" s="14">
        <v>46281</v>
      </c>
      <c r="AC3" s="15">
        <v>46295</v>
      </c>
      <c r="AD3" s="10"/>
      <c r="AE3" s="10"/>
      <c r="AF3" s="10"/>
      <c r="AG3" s="10"/>
      <c r="AH3" s="10"/>
      <c r="AI3" s="4"/>
    </row>
    <row r="4" spans="1:35" s="16" customFormat="1" ht="15" thickBot="1" x14ac:dyDescent="0.35">
      <c r="A4" s="16">
        <v>1</v>
      </c>
      <c r="B4" s="16">
        <v>3</v>
      </c>
      <c r="C4" s="16">
        <v>4</v>
      </c>
      <c r="D4" s="17">
        <v>5</v>
      </c>
      <c r="E4" s="16">
        <v>6</v>
      </c>
      <c r="F4" s="18"/>
      <c r="G4" s="18">
        <v>10</v>
      </c>
      <c r="H4" s="18">
        <v>11</v>
      </c>
      <c r="I4" s="18">
        <v>12</v>
      </c>
      <c r="J4" s="18">
        <v>13</v>
      </c>
      <c r="K4" s="18">
        <v>14</v>
      </c>
      <c r="L4" s="18">
        <v>15</v>
      </c>
      <c r="M4" s="18">
        <v>16</v>
      </c>
      <c r="N4" s="18">
        <v>17</v>
      </c>
      <c r="O4" s="18">
        <v>18</v>
      </c>
      <c r="P4" s="18"/>
      <c r="Q4" s="18"/>
      <c r="R4" s="18">
        <v>23</v>
      </c>
      <c r="S4" s="19">
        <v>24</v>
      </c>
      <c r="T4" s="18">
        <v>25</v>
      </c>
      <c r="U4" s="18">
        <v>23</v>
      </c>
      <c r="V4" s="20">
        <v>24</v>
      </c>
      <c r="W4" s="18">
        <v>25</v>
      </c>
      <c r="X4" s="18">
        <v>26</v>
      </c>
      <c r="Y4" s="18">
        <v>28</v>
      </c>
      <c r="Z4" s="18"/>
      <c r="AA4" s="18"/>
      <c r="AB4" s="21">
        <v>33</v>
      </c>
      <c r="AC4" s="16" t="s">
        <v>2</v>
      </c>
      <c r="AD4" s="10"/>
      <c r="AE4" s="10"/>
      <c r="AF4" s="10"/>
      <c r="AG4" s="10"/>
      <c r="AH4" s="10"/>
      <c r="AI4" s="22"/>
    </row>
    <row r="5" spans="1:35" s="23" customFormat="1" x14ac:dyDescent="0.3">
      <c r="A5" s="23" t="s">
        <v>3</v>
      </c>
      <c r="B5" s="24" t="s">
        <v>4</v>
      </c>
      <c r="C5" s="23" t="s">
        <v>5</v>
      </c>
      <c r="D5" s="23" t="s">
        <v>6</v>
      </c>
      <c r="E5" s="23" t="s">
        <v>7</v>
      </c>
      <c r="F5" s="25" t="s">
        <v>8</v>
      </c>
      <c r="G5" s="25" t="s">
        <v>9</v>
      </c>
      <c r="H5" s="25" t="s">
        <v>10</v>
      </c>
      <c r="I5" s="25" t="s">
        <v>11</v>
      </c>
      <c r="J5" s="25" t="s">
        <v>12</v>
      </c>
      <c r="K5" s="25" t="s">
        <v>13</v>
      </c>
      <c r="L5" s="25" t="s">
        <v>14</v>
      </c>
      <c r="M5" s="25" t="s">
        <v>15</v>
      </c>
      <c r="N5" s="25" t="s">
        <v>16</v>
      </c>
      <c r="O5" s="25" t="s">
        <v>17</v>
      </c>
      <c r="P5" s="25" t="s">
        <v>18</v>
      </c>
      <c r="Q5" s="25" t="s">
        <v>19</v>
      </c>
      <c r="R5" s="26" t="s">
        <v>20</v>
      </c>
      <c r="S5" s="27" t="s">
        <v>21</v>
      </c>
      <c r="T5" s="28" t="s">
        <v>22</v>
      </c>
      <c r="U5" s="28" t="s">
        <v>23</v>
      </c>
      <c r="V5" s="28" t="s">
        <v>24</v>
      </c>
      <c r="W5" s="28" t="s">
        <v>25</v>
      </c>
      <c r="X5" s="28" t="s">
        <v>26</v>
      </c>
      <c r="Y5" s="28" t="s">
        <v>27</v>
      </c>
      <c r="Z5" s="28" t="s">
        <v>28</v>
      </c>
      <c r="AA5" s="28" t="s">
        <v>29</v>
      </c>
      <c r="AB5" s="29" t="s">
        <v>30</v>
      </c>
      <c r="AC5" s="30" t="s">
        <v>31</v>
      </c>
      <c r="AD5" s="31"/>
      <c r="AE5" s="31"/>
      <c r="AF5" s="31"/>
      <c r="AG5" s="32"/>
      <c r="AH5" s="32"/>
      <c r="AI5" s="33"/>
    </row>
    <row r="6" spans="1:35" s="35" customFormat="1" x14ac:dyDescent="0.3">
      <c r="A6" s="34">
        <v>1</v>
      </c>
      <c r="B6" t="s">
        <v>32</v>
      </c>
      <c r="C6" s="35" t="s">
        <v>33</v>
      </c>
      <c r="D6" s="35" t="s">
        <v>34</v>
      </c>
      <c r="E6" s="35" t="s">
        <v>35</v>
      </c>
      <c r="F6" s="36">
        <v>8188.1563480000013</v>
      </c>
      <c r="G6" s="37">
        <v>919.44</v>
      </c>
      <c r="H6" s="37">
        <v>99.12</v>
      </c>
      <c r="I6" s="37">
        <v>622</v>
      </c>
      <c r="J6" s="37">
        <v>0</v>
      </c>
      <c r="K6" s="37">
        <v>493.8</v>
      </c>
      <c r="L6" s="37">
        <v>539.84</v>
      </c>
      <c r="M6" s="37">
        <v>779.06</v>
      </c>
      <c r="N6" s="37">
        <v>0</v>
      </c>
      <c r="O6" s="37">
        <f>((NOMINA[[#This Row],[SUELDO]]/15)*7+38.1)/2</f>
        <v>1929.6198145333337</v>
      </c>
      <c r="P6" s="37"/>
      <c r="Q6" s="37"/>
      <c r="R6" s="37">
        <f t="shared" ref="R6:R27" si="0">SUM(F6:Q6)</f>
        <v>13571.036162533335</v>
      </c>
      <c r="S6" s="37">
        <v>1395.82</v>
      </c>
      <c r="T6" s="38">
        <f>NOMINA[[#This Row],[TOTAL PERCEPCIONES]]*0.07</f>
        <v>949.97253137733355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  <c r="Z6" s="37"/>
      <c r="AA6" s="37"/>
      <c r="AB6" s="39">
        <f t="shared" ref="AB6:AB27" si="1">SUM(S6:Y6)</f>
        <v>2345.7925313773335</v>
      </c>
      <c r="AC6" s="40">
        <f>NOMINA[[#This Row],[TOTAL PERCEPCIONES]]-NOMINA[[#This Row],[TOTAL DEDUCCIONES]]</f>
        <v>11225.243631156001</v>
      </c>
      <c r="AD6" s="41"/>
      <c r="AE6" s="41"/>
      <c r="AF6" s="41"/>
      <c r="AG6" s="41"/>
      <c r="AH6" s="42"/>
      <c r="AI6" s="43"/>
    </row>
    <row r="7" spans="1:35" s="35" customFormat="1" x14ac:dyDescent="0.3">
      <c r="A7" s="44">
        <v>2</v>
      </c>
      <c r="B7" t="s">
        <v>36</v>
      </c>
      <c r="C7" s="35" t="s">
        <v>33</v>
      </c>
      <c r="D7" s="35" t="s">
        <v>34</v>
      </c>
      <c r="E7" s="35" t="s">
        <v>35</v>
      </c>
      <c r="F7" s="36">
        <v>7810.0200040000018</v>
      </c>
      <c r="G7" s="37">
        <v>919.44</v>
      </c>
      <c r="H7" s="37">
        <v>99.12</v>
      </c>
      <c r="I7" s="45">
        <v>0</v>
      </c>
      <c r="J7" s="45">
        <v>0</v>
      </c>
      <c r="K7" s="45">
        <v>493.8</v>
      </c>
      <c r="L7" s="45">
        <v>539.84</v>
      </c>
      <c r="M7" s="45">
        <v>0</v>
      </c>
      <c r="N7" s="45">
        <v>0</v>
      </c>
      <c r="O7" s="37">
        <f>((NOMINA[[#This Row],[SUELDO]]/15)*7+38.1)/2</f>
        <v>1841.3880009333338</v>
      </c>
      <c r="P7" s="37"/>
      <c r="Q7" s="37"/>
      <c r="R7" s="37">
        <f t="shared" si="0"/>
        <v>11703.608004933336</v>
      </c>
      <c r="S7" s="45">
        <v>1129.8</v>
      </c>
      <c r="T7" s="38">
        <f>NOMINA[[#This Row],[TOTAL PERCEPCIONES]]*0.07</f>
        <v>819.25256034533356</v>
      </c>
      <c r="U7" s="37">
        <v>0</v>
      </c>
      <c r="V7" s="45">
        <v>0</v>
      </c>
      <c r="W7" s="45">
        <v>0</v>
      </c>
      <c r="X7" s="45">
        <v>0</v>
      </c>
      <c r="Y7" s="45">
        <v>0</v>
      </c>
      <c r="Z7" s="45"/>
      <c r="AA7" s="45"/>
      <c r="AB7" s="39">
        <f t="shared" si="1"/>
        <v>1949.0525603453334</v>
      </c>
      <c r="AC7" s="40">
        <f>NOMINA[[#This Row],[TOTAL PERCEPCIONES]]-NOMINA[[#This Row],[TOTAL DEDUCCIONES]]</f>
        <v>9754.5554445880025</v>
      </c>
      <c r="AE7" s="46"/>
      <c r="AH7" s="47"/>
      <c r="AI7" s="48"/>
    </row>
    <row r="8" spans="1:35" s="35" customFormat="1" x14ac:dyDescent="0.3">
      <c r="A8" s="44">
        <v>5</v>
      </c>
      <c r="B8" t="s">
        <v>37</v>
      </c>
      <c r="C8" s="35" t="s">
        <v>33</v>
      </c>
      <c r="D8" s="35" t="s">
        <v>34</v>
      </c>
      <c r="E8" s="35" t="s">
        <v>35</v>
      </c>
      <c r="F8" s="36">
        <v>6377.9131520000001</v>
      </c>
      <c r="G8" s="37">
        <v>919.44</v>
      </c>
      <c r="H8" s="37">
        <v>99.12</v>
      </c>
      <c r="I8" s="45">
        <v>0</v>
      </c>
      <c r="J8" s="37"/>
      <c r="K8" s="37">
        <v>493.8</v>
      </c>
      <c r="L8" s="49"/>
      <c r="M8" s="37">
        <v>0</v>
      </c>
      <c r="N8" s="49"/>
      <c r="O8" s="37">
        <f>((NOMINA[[#This Row],[SUELDO]]/15)*6+28.57)/2</f>
        <v>1289.8676304000001</v>
      </c>
      <c r="P8" s="37"/>
      <c r="Q8" s="37"/>
      <c r="R8" s="37">
        <f t="shared" si="0"/>
        <v>9180.1407823999998</v>
      </c>
      <c r="S8" s="37">
        <v>739.92</v>
      </c>
      <c r="T8" s="38">
        <f>NOMINA[[#This Row],[TOTAL PERCEPCIONES]]*0.07</f>
        <v>642.60985476799999</v>
      </c>
      <c r="U8" s="37">
        <v>0</v>
      </c>
      <c r="V8" s="37">
        <v>100</v>
      </c>
      <c r="W8" s="37">
        <v>0</v>
      </c>
      <c r="X8" s="37">
        <v>0</v>
      </c>
      <c r="Y8" s="37">
        <v>0</v>
      </c>
      <c r="Z8" s="37"/>
      <c r="AA8" s="37"/>
      <c r="AB8" s="39">
        <f t="shared" si="1"/>
        <v>1482.529854768</v>
      </c>
      <c r="AC8" s="40">
        <f>NOMINA[[#This Row],[TOTAL PERCEPCIONES]]-NOMINA[[#This Row],[TOTAL DEDUCCIONES]]</f>
        <v>7697.6109276320003</v>
      </c>
      <c r="AD8" s="50"/>
      <c r="AE8" s="46"/>
      <c r="AF8" s="41"/>
      <c r="AG8" s="41"/>
      <c r="AH8" s="42"/>
      <c r="AI8" s="43"/>
    </row>
    <row r="9" spans="1:35" s="35" customFormat="1" x14ac:dyDescent="0.3">
      <c r="A9" s="44">
        <v>7</v>
      </c>
      <c r="B9" t="s">
        <v>36</v>
      </c>
      <c r="C9" s="35" t="s">
        <v>33</v>
      </c>
      <c r="D9" s="35" t="s">
        <v>34</v>
      </c>
      <c r="E9" s="35" t="s">
        <v>35</v>
      </c>
      <c r="F9" s="36">
        <v>7525.6480800000008</v>
      </c>
      <c r="G9" s="49">
        <v>919.44</v>
      </c>
      <c r="H9" s="49">
        <v>99.12</v>
      </c>
      <c r="I9" s="49"/>
      <c r="J9" s="49">
        <v>272.39</v>
      </c>
      <c r="K9" s="49">
        <v>493.8</v>
      </c>
      <c r="L9" s="49">
        <v>539.84</v>
      </c>
      <c r="M9" s="49">
        <v>0</v>
      </c>
      <c r="N9" s="49">
        <v>393.26</v>
      </c>
      <c r="O9" s="49">
        <f>((NOMINA[[#This Row],[SUELDO]]/15)*5+19.04)/2</f>
        <v>1263.7946800000002</v>
      </c>
      <c r="P9" s="37"/>
      <c r="Q9" s="49"/>
      <c r="R9" s="37">
        <f t="shared" si="0"/>
        <v>11507.292760000002</v>
      </c>
      <c r="S9" s="49">
        <v>945.68</v>
      </c>
      <c r="T9" s="38">
        <f>NOMINA[[#This Row],[TOTAL PERCEPCIONES]]*0.07</f>
        <v>805.51049320000027</v>
      </c>
      <c r="U9" s="49">
        <v>786.52</v>
      </c>
      <c r="V9" s="37">
        <v>100</v>
      </c>
      <c r="W9" s="49">
        <v>50</v>
      </c>
      <c r="X9" s="49">
        <v>131.505</v>
      </c>
      <c r="Y9" s="49">
        <v>1750</v>
      </c>
      <c r="Z9" s="49"/>
      <c r="AA9" s="49"/>
      <c r="AB9" s="39">
        <f t="shared" si="1"/>
        <v>4569.2154932000003</v>
      </c>
      <c r="AC9" s="51">
        <f>NOMINA[[#This Row],[TOTAL PERCEPCIONES]]-NOMINA[[#This Row],[TOTAL DEDUCCIONES]]</f>
        <v>6938.0772668000018</v>
      </c>
      <c r="AE9" s="46"/>
      <c r="AI9" s="52"/>
    </row>
    <row r="10" spans="1:35" s="35" customFormat="1" x14ac:dyDescent="0.3">
      <c r="A10" s="53">
        <v>34</v>
      </c>
      <c r="B10" t="s">
        <v>38</v>
      </c>
      <c r="C10" s="35" t="s">
        <v>39</v>
      </c>
      <c r="D10" s="35" t="s">
        <v>39</v>
      </c>
      <c r="E10" s="35" t="s">
        <v>35</v>
      </c>
      <c r="F10" s="36">
        <v>11330</v>
      </c>
      <c r="G10" s="54">
        <v>472.28</v>
      </c>
      <c r="H10" s="54">
        <v>5600</v>
      </c>
      <c r="I10" s="54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/>
      <c r="Q10" s="37"/>
      <c r="R10" s="37">
        <f t="shared" si="0"/>
        <v>17402.28</v>
      </c>
      <c r="S10" s="54">
        <v>1481.94</v>
      </c>
      <c r="T10" s="38">
        <f>R10*0.08</f>
        <v>1392.1823999999999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/>
      <c r="AA10" s="37"/>
      <c r="AB10" s="39">
        <f t="shared" si="1"/>
        <v>2874.1224000000002</v>
      </c>
      <c r="AC10" s="40">
        <f>NOMINA[[#This Row],[TOTAL PERCEPCIONES]]-NOMINA[[#This Row],[TOTAL DEDUCCIONES]]</f>
        <v>14528.157599999999</v>
      </c>
      <c r="AD10" s="41"/>
      <c r="AE10" s="46"/>
      <c r="AF10" s="41"/>
      <c r="AG10" s="41"/>
      <c r="AH10" s="42"/>
      <c r="AI10" s="43"/>
    </row>
    <row r="11" spans="1:35" s="35" customFormat="1" x14ac:dyDescent="0.3">
      <c r="A11" s="53">
        <v>35</v>
      </c>
      <c r="B11" t="s">
        <v>40</v>
      </c>
      <c r="C11" s="35" t="s">
        <v>39</v>
      </c>
      <c r="D11" s="35" t="s">
        <v>39</v>
      </c>
      <c r="E11" s="35" t="s">
        <v>35</v>
      </c>
      <c r="F11" s="36">
        <v>6300</v>
      </c>
      <c r="G11" s="55">
        <v>892.28</v>
      </c>
      <c r="H11" s="54">
        <v>3700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37"/>
      <c r="Q11" s="54"/>
      <c r="R11" s="37">
        <f t="shared" si="0"/>
        <v>10892.279999999999</v>
      </c>
      <c r="S11" s="54">
        <v>512.65</v>
      </c>
      <c r="T11" s="38">
        <f>R11*0.08</f>
        <v>871.38239999999996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/>
      <c r="AA11" s="37"/>
      <c r="AB11" s="39">
        <f t="shared" si="1"/>
        <v>1384.0324000000001</v>
      </c>
      <c r="AC11" s="40">
        <f>NOMINA[[#This Row],[TOTAL PERCEPCIONES]]-NOMINA[[#This Row],[TOTAL DEDUCCIONES]]</f>
        <v>9508.2475999999988</v>
      </c>
      <c r="AD11" s="41"/>
      <c r="AE11" s="46"/>
      <c r="AF11" s="41"/>
      <c r="AG11" s="41"/>
      <c r="AH11" s="42"/>
      <c r="AI11" s="43"/>
    </row>
    <row r="12" spans="1:35" s="35" customFormat="1" x14ac:dyDescent="0.3">
      <c r="A12" s="53">
        <v>36</v>
      </c>
      <c r="B12" t="s">
        <v>37</v>
      </c>
      <c r="C12" s="35" t="s">
        <v>39</v>
      </c>
      <c r="D12" s="35" t="s">
        <v>39</v>
      </c>
      <c r="E12" s="35" t="s">
        <v>35</v>
      </c>
      <c r="F12" s="36">
        <v>1398.42</v>
      </c>
      <c r="G12" s="54">
        <v>293.10000000000002</v>
      </c>
      <c r="H12" s="54">
        <v>1569.35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37"/>
      <c r="Q12" s="54"/>
      <c r="R12" s="37">
        <f t="shared" si="0"/>
        <v>3260.87</v>
      </c>
      <c r="S12" s="45">
        <v>0</v>
      </c>
      <c r="T12" s="38">
        <f>R12*0.08</f>
        <v>260.86959999999999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/>
      <c r="AA12" s="37"/>
      <c r="AB12" s="39">
        <f t="shared" si="1"/>
        <v>260.86959999999999</v>
      </c>
      <c r="AC12" s="40">
        <f>NOMINA[[#This Row],[TOTAL PERCEPCIONES]]-NOMINA[[#This Row],[TOTAL DEDUCCIONES]]</f>
        <v>3000.0003999999999</v>
      </c>
      <c r="AD12" s="41"/>
      <c r="AE12" s="46"/>
      <c r="AF12" s="41"/>
      <c r="AG12" s="41"/>
      <c r="AH12" s="42"/>
      <c r="AI12" s="43"/>
    </row>
    <row r="13" spans="1:35" s="35" customFormat="1" x14ac:dyDescent="0.3">
      <c r="A13" s="56">
        <v>26</v>
      </c>
      <c r="B13" t="s">
        <v>41</v>
      </c>
      <c r="C13" s="35" t="s">
        <v>39</v>
      </c>
      <c r="D13" s="35" t="s">
        <v>39</v>
      </c>
      <c r="E13" s="35" t="s">
        <v>35</v>
      </c>
      <c r="F13" s="36">
        <v>1196.56</v>
      </c>
      <c r="G13" s="37">
        <v>0</v>
      </c>
      <c r="H13" s="37">
        <v>0</v>
      </c>
      <c r="I13" s="54">
        <v>0</v>
      </c>
      <c r="J13" s="54">
        <v>0</v>
      </c>
      <c r="K13" s="54">
        <v>0</v>
      </c>
      <c r="L13" s="37">
        <v>0</v>
      </c>
      <c r="M13" s="54">
        <v>0</v>
      </c>
      <c r="N13" s="54">
        <v>0</v>
      </c>
      <c r="O13" s="54">
        <v>0</v>
      </c>
      <c r="P13" s="37"/>
      <c r="Q13" s="54"/>
      <c r="R13" s="37">
        <f t="shared" si="0"/>
        <v>1196.56</v>
      </c>
      <c r="S13" s="45">
        <v>0</v>
      </c>
      <c r="T13" s="38">
        <f t="shared" ref="T13:T20" si="2">R13*0.08</f>
        <v>95.724800000000002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/>
      <c r="AA13" s="37"/>
      <c r="AB13" s="39">
        <f t="shared" si="1"/>
        <v>95.724800000000002</v>
      </c>
      <c r="AC13" s="40">
        <f>NOMINA[[#This Row],[TOTAL PERCEPCIONES]]-NOMINA[[#This Row],[TOTAL DEDUCCIONES]]</f>
        <v>1100.8352</v>
      </c>
      <c r="AD13" s="41"/>
      <c r="AE13" s="46"/>
      <c r="AF13" s="41"/>
      <c r="AG13" s="41"/>
      <c r="AH13" s="42"/>
      <c r="AI13" s="43"/>
    </row>
    <row r="14" spans="1:35" s="35" customFormat="1" x14ac:dyDescent="0.3">
      <c r="A14" s="44">
        <v>41</v>
      </c>
      <c r="B14" t="s">
        <v>42</v>
      </c>
      <c r="C14" s="35" t="s">
        <v>39</v>
      </c>
      <c r="D14" s="35" t="s">
        <v>39</v>
      </c>
      <c r="E14" s="35" t="s">
        <v>35</v>
      </c>
      <c r="F14" s="36">
        <v>1398.42</v>
      </c>
      <c r="G14" s="54">
        <v>293.10000000000002</v>
      </c>
      <c r="H14" s="54">
        <v>1569.35</v>
      </c>
      <c r="I14" s="54">
        <v>0</v>
      </c>
      <c r="J14" s="54">
        <v>0</v>
      </c>
      <c r="K14" s="54">
        <v>0</v>
      </c>
      <c r="L14" s="37">
        <v>0</v>
      </c>
      <c r="M14" s="54">
        <v>0</v>
      </c>
      <c r="N14" s="54">
        <v>0</v>
      </c>
      <c r="O14" s="54">
        <v>0</v>
      </c>
      <c r="P14" s="37"/>
      <c r="Q14" s="54"/>
      <c r="R14" s="37">
        <f t="shared" si="0"/>
        <v>3260.87</v>
      </c>
      <c r="S14" s="45">
        <v>0</v>
      </c>
      <c r="T14" s="38">
        <f t="shared" si="2"/>
        <v>260.86959999999999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/>
      <c r="AA14" s="37"/>
      <c r="AB14" s="39">
        <f t="shared" si="1"/>
        <v>260.86959999999999</v>
      </c>
      <c r="AC14" s="51">
        <f>NOMINA[[#This Row],[TOTAL PERCEPCIONES]]-NOMINA[[#This Row],[TOTAL DEDUCCIONES]]</f>
        <v>3000.0003999999999</v>
      </c>
      <c r="AE14" s="46"/>
      <c r="AI14" s="52"/>
    </row>
    <row r="15" spans="1:35" s="35" customFormat="1" x14ac:dyDescent="0.3">
      <c r="A15" s="56">
        <v>40</v>
      </c>
      <c r="B15" t="s">
        <v>37</v>
      </c>
      <c r="C15" s="35" t="s">
        <v>39</v>
      </c>
      <c r="D15" s="35" t="s">
        <v>39</v>
      </c>
      <c r="E15" s="35" t="s">
        <v>35</v>
      </c>
      <c r="F15" s="36">
        <v>1398.42</v>
      </c>
      <c r="G15" s="54">
        <f>171.09+122.01</f>
        <v>293.10000000000002</v>
      </c>
      <c r="H15" s="54">
        <v>1025.8699999999999</v>
      </c>
      <c r="I15" s="54">
        <v>0</v>
      </c>
      <c r="J15" s="54">
        <v>0</v>
      </c>
      <c r="K15" s="54">
        <v>0</v>
      </c>
      <c r="L15" s="37">
        <v>0</v>
      </c>
      <c r="M15" s="54">
        <v>0</v>
      </c>
      <c r="N15" s="54">
        <v>0</v>
      </c>
      <c r="O15" s="54">
        <v>0</v>
      </c>
      <c r="P15" s="37"/>
      <c r="Q15" s="54"/>
      <c r="R15" s="37">
        <f t="shared" si="0"/>
        <v>2717.39</v>
      </c>
      <c r="S15" s="57"/>
      <c r="T15" s="38">
        <f t="shared" si="2"/>
        <v>217.3912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/>
      <c r="AA15" s="37"/>
      <c r="AB15" s="39">
        <f t="shared" si="1"/>
        <v>217.3912</v>
      </c>
      <c r="AC15" s="51">
        <f>NOMINA[[#This Row],[TOTAL PERCEPCIONES]]-NOMINA[[#This Row],[TOTAL DEDUCCIONES]]</f>
        <v>2499.9987999999998</v>
      </c>
      <c r="AD15" s="41"/>
      <c r="AE15" s="46"/>
      <c r="AF15" s="41"/>
      <c r="AG15" s="41"/>
      <c r="AH15" s="42"/>
      <c r="AI15" s="43"/>
    </row>
    <row r="16" spans="1:35" s="35" customFormat="1" ht="14.55" customHeight="1" x14ac:dyDescent="0.3">
      <c r="A16" s="56">
        <v>48</v>
      </c>
      <c r="B16" t="s">
        <v>37</v>
      </c>
      <c r="C16" s="35" t="s">
        <v>39</v>
      </c>
      <c r="D16" s="35" t="s">
        <v>39</v>
      </c>
      <c r="E16" s="35" t="s">
        <v>35</v>
      </c>
      <c r="F16" s="36">
        <v>1398.42</v>
      </c>
      <c r="G16" s="54">
        <v>293.10000000000002</v>
      </c>
      <c r="H16" s="54">
        <f>1786.74</f>
        <v>1786.74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37"/>
      <c r="Q16" s="54"/>
      <c r="R16" s="37">
        <f t="shared" si="0"/>
        <v>3478.26</v>
      </c>
      <c r="S16" s="57"/>
      <c r="T16" s="38">
        <f t="shared" si="2"/>
        <v>278.26080000000002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/>
      <c r="AA16" s="37"/>
      <c r="AB16" s="39">
        <f t="shared" si="1"/>
        <v>278.26080000000002</v>
      </c>
      <c r="AC16" s="51">
        <f>NOMINA[[#This Row],[TOTAL PERCEPCIONES]]-NOMINA[[#This Row],[TOTAL DEDUCCIONES]]</f>
        <v>3199.9992000000002</v>
      </c>
      <c r="AD16" s="41"/>
      <c r="AE16" s="46"/>
      <c r="AF16" s="41"/>
      <c r="AG16" s="41"/>
      <c r="AH16" s="42"/>
      <c r="AI16" s="43"/>
    </row>
    <row r="17" spans="1:35" s="35" customFormat="1" ht="14.55" customHeight="1" x14ac:dyDescent="0.3">
      <c r="A17" s="58">
        <v>49</v>
      </c>
      <c r="B17" t="s">
        <v>37</v>
      </c>
      <c r="C17" s="35" t="s">
        <v>39</v>
      </c>
      <c r="D17" s="35" t="s">
        <v>39</v>
      </c>
      <c r="E17" s="35" t="s">
        <v>35</v>
      </c>
      <c r="F17" s="36">
        <v>1398.42</v>
      </c>
      <c r="G17" s="54">
        <v>293.10000000000002</v>
      </c>
      <c r="H17" s="54">
        <v>1569.35</v>
      </c>
      <c r="I17" s="59"/>
      <c r="J17" s="59"/>
      <c r="K17" s="59"/>
      <c r="L17" s="59"/>
      <c r="M17" s="59"/>
      <c r="N17" s="59"/>
      <c r="O17" s="59"/>
      <c r="P17" s="60"/>
      <c r="Q17" s="59"/>
      <c r="R17" s="61">
        <f>SUM(F17:Q17)</f>
        <v>3260.87</v>
      </c>
      <c r="S17" s="57"/>
      <c r="T17" s="62">
        <v>260.87</v>
      </c>
      <c r="U17" s="63"/>
      <c r="V17" s="64"/>
      <c r="W17" s="63"/>
      <c r="X17" s="63"/>
      <c r="Y17" s="64"/>
      <c r="Z17" s="37"/>
      <c r="AA17" s="37"/>
      <c r="AB17" s="39">
        <f>SUM(S17:Y17)</f>
        <v>260.87</v>
      </c>
      <c r="AC17" s="51">
        <f>NOMINA[[#This Row],[TOTAL PERCEPCIONES]]-NOMINA[[#This Row],[TOTAL DEDUCCIONES]]</f>
        <v>3000</v>
      </c>
      <c r="AD17" s="41"/>
      <c r="AE17" s="46"/>
      <c r="AF17" s="41"/>
      <c r="AG17" s="41"/>
      <c r="AH17" s="42"/>
      <c r="AI17" s="43"/>
    </row>
    <row r="18" spans="1:35" s="35" customFormat="1" x14ac:dyDescent="0.3">
      <c r="A18" s="56">
        <v>27</v>
      </c>
      <c r="B18" t="s">
        <v>41</v>
      </c>
      <c r="C18" s="35" t="s">
        <v>33</v>
      </c>
      <c r="D18" s="35" t="s">
        <v>34</v>
      </c>
      <c r="E18" s="35" t="s">
        <v>35</v>
      </c>
      <c r="F18" s="36">
        <v>8188.1563480000013</v>
      </c>
      <c r="G18" s="37">
        <v>919.44</v>
      </c>
      <c r="H18" s="37">
        <v>99.12</v>
      </c>
      <c r="I18" s="37">
        <v>1200</v>
      </c>
      <c r="J18" s="37">
        <v>0</v>
      </c>
      <c r="K18" s="37">
        <v>493.8</v>
      </c>
      <c r="L18" s="37">
        <v>539.84</v>
      </c>
      <c r="M18" s="37">
        <v>0</v>
      </c>
      <c r="N18" s="37">
        <v>0</v>
      </c>
      <c r="O18" s="37">
        <v>1224.0899999999999</v>
      </c>
      <c r="P18" s="37"/>
      <c r="Q18" s="37"/>
      <c r="R18" s="37">
        <f>SUM(F18:Q18)</f>
        <v>12664.446348000001</v>
      </c>
      <c r="S18" s="45">
        <v>1078.72</v>
      </c>
      <c r="T18" s="65">
        <f>R18*0.08</f>
        <v>1013.1557078400001</v>
      </c>
      <c r="U18" s="45">
        <v>0</v>
      </c>
      <c r="V18" s="45">
        <v>0</v>
      </c>
      <c r="W18" s="45">
        <v>0</v>
      </c>
      <c r="X18" s="45">
        <v>0</v>
      </c>
      <c r="Y18" s="45">
        <v>0</v>
      </c>
      <c r="Z18" s="45"/>
      <c r="AA18" s="45"/>
      <c r="AB18" s="39">
        <f t="shared" si="1"/>
        <v>2091.8757078400004</v>
      </c>
      <c r="AC18" s="40">
        <f>NOMINA[[#This Row],[TOTAL PERCEPCIONES]]-NOMINA[[#This Row],[TOTAL DEDUCCIONES]]</f>
        <v>10572.57064016</v>
      </c>
      <c r="AD18" s="41"/>
      <c r="AE18" s="46"/>
      <c r="AF18" s="41"/>
      <c r="AG18" s="41"/>
      <c r="AH18" s="42"/>
      <c r="AI18" s="43"/>
    </row>
    <row r="19" spans="1:35" s="35" customFormat="1" x14ac:dyDescent="0.3">
      <c r="A19" s="56">
        <v>25</v>
      </c>
      <c r="B19" t="s">
        <v>36</v>
      </c>
      <c r="C19" s="35" t="s">
        <v>43</v>
      </c>
      <c r="D19" s="35" t="s">
        <v>43</v>
      </c>
      <c r="E19" s="35" t="s">
        <v>35</v>
      </c>
      <c r="F19" s="36">
        <v>4000</v>
      </c>
      <c r="G19" s="37">
        <v>628.38</v>
      </c>
      <c r="H19" s="37"/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/>
      <c r="Q19" s="37"/>
      <c r="R19" s="37">
        <f t="shared" ref="R19:R21" si="3">SUM(F19:Q19)</f>
        <v>4628.38</v>
      </c>
      <c r="S19" s="57">
        <v>258.11</v>
      </c>
      <c r="T19" s="65">
        <f>R19*0.08</f>
        <v>370.2704</v>
      </c>
      <c r="U19" s="45">
        <v>0</v>
      </c>
      <c r="V19" s="45">
        <v>0</v>
      </c>
      <c r="W19" s="45">
        <v>0</v>
      </c>
      <c r="X19" s="45">
        <v>0</v>
      </c>
      <c r="Y19" s="45">
        <v>0</v>
      </c>
      <c r="Z19" s="45"/>
      <c r="AA19" s="45"/>
      <c r="AB19" s="39">
        <f t="shared" si="1"/>
        <v>628.38040000000001</v>
      </c>
      <c r="AC19" s="40">
        <f>NOMINA[[#This Row],[TOTAL PERCEPCIONES]]-NOMINA[[#This Row],[TOTAL DEDUCCIONES]]</f>
        <v>3999.9996000000001</v>
      </c>
      <c r="AD19" s="41"/>
      <c r="AE19" s="46"/>
      <c r="AF19" s="41"/>
      <c r="AG19" s="41"/>
      <c r="AH19" s="42"/>
      <c r="AI19" s="43"/>
    </row>
    <row r="20" spans="1:35" s="35" customFormat="1" x14ac:dyDescent="0.3">
      <c r="A20" s="56">
        <v>24</v>
      </c>
      <c r="B20" t="s">
        <v>44</v>
      </c>
      <c r="C20" s="35" t="s">
        <v>33</v>
      </c>
      <c r="D20" s="35" t="s">
        <v>34</v>
      </c>
      <c r="E20" s="35" t="s">
        <v>35</v>
      </c>
      <c r="F20" s="36">
        <v>6377.9131520000001</v>
      </c>
      <c r="G20" s="37">
        <v>919.44</v>
      </c>
      <c r="H20" s="37">
        <v>99.12</v>
      </c>
      <c r="I20" s="37">
        <v>0</v>
      </c>
      <c r="J20" s="37">
        <v>0</v>
      </c>
      <c r="K20" s="37">
        <v>493.8</v>
      </c>
      <c r="L20" s="37">
        <v>0</v>
      </c>
      <c r="M20" s="37">
        <v>0</v>
      </c>
      <c r="N20" s="37">
        <v>0</v>
      </c>
      <c r="O20" s="37">
        <v>1072.51</v>
      </c>
      <c r="P20" s="37"/>
      <c r="Q20" s="37"/>
      <c r="R20" s="37">
        <f t="shared" si="3"/>
        <v>8962.783152</v>
      </c>
      <c r="S20" s="57">
        <v>700.97</v>
      </c>
      <c r="T20" s="65">
        <f t="shared" si="2"/>
        <v>717.02265216000001</v>
      </c>
      <c r="U20" s="45">
        <v>0</v>
      </c>
      <c r="V20" s="37">
        <v>100</v>
      </c>
      <c r="W20" s="45">
        <v>0</v>
      </c>
      <c r="X20" s="45">
        <v>0</v>
      </c>
      <c r="Y20" s="45">
        <v>0</v>
      </c>
      <c r="Z20" s="45"/>
      <c r="AA20" s="45"/>
      <c r="AB20" s="39">
        <f t="shared" si="1"/>
        <v>1517.99265216</v>
      </c>
      <c r="AC20" s="40">
        <f>NOMINA[[#This Row],[TOTAL PERCEPCIONES]]-NOMINA[[#This Row],[TOTAL DEDUCCIONES]]</f>
        <v>7444.7904998399999</v>
      </c>
      <c r="AD20" s="50"/>
      <c r="AE20" s="46"/>
      <c r="AF20" s="41"/>
      <c r="AG20" s="41"/>
      <c r="AH20" s="42"/>
      <c r="AI20" s="43"/>
    </row>
    <row r="21" spans="1:35" s="35" customFormat="1" x14ac:dyDescent="0.3">
      <c r="A21" s="44">
        <v>14</v>
      </c>
      <c r="B21" t="s">
        <v>45</v>
      </c>
      <c r="C21" s="35" t="s">
        <v>33</v>
      </c>
      <c r="D21" s="35" t="s">
        <v>34</v>
      </c>
      <c r="E21" s="35" t="s">
        <v>35</v>
      </c>
      <c r="F21" s="36">
        <v>8188.1563480000013</v>
      </c>
      <c r="G21" s="37">
        <v>919.44</v>
      </c>
      <c r="H21" s="37">
        <v>99.12</v>
      </c>
      <c r="I21" s="37">
        <v>3000</v>
      </c>
      <c r="J21" s="37">
        <v>0</v>
      </c>
      <c r="K21" s="37">
        <v>493.8</v>
      </c>
      <c r="L21" s="37">
        <v>539.84</v>
      </c>
      <c r="M21" s="37">
        <v>779.06</v>
      </c>
      <c r="N21" s="45">
        <v>0</v>
      </c>
      <c r="O21" s="37">
        <f>((NOMINA[[#This Row],[SUELDO]]/15)*8+47.63)/2</f>
        <v>2207.3233594666672</v>
      </c>
      <c r="P21" s="37"/>
      <c r="Q21" s="37"/>
      <c r="R21" s="37">
        <f t="shared" si="3"/>
        <v>16226.739707466668</v>
      </c>
      <c r="S21" s="45">
        <v>1455.14</v>
      </c>
      <c r="T21" s="38">
        <f>R21*0.07</f>
        <v>1135.8717795226669</v>
      </c>
      <c r="U21" s="45">
        <v>0</v>
      </c>
      <c r="V21" s="45">
        <v>0</v>
      </c>
      <c r="W21" s="45">
        <v>0</v>
      </c>
      <c r="X21" s="45">
        <v>0</v>
      </c>
      <c r="Y21" s="45">
        <v>0</v>
      </c>
      <c r="Z21" s="45"/>
      <c r="AA21" s="45"/>
      <c r="AB21" s="39">
        <f t="shared" si="1"/>
        <v>2591.011779522667</v>
      </c>
      <c r="AC21" s="51">
        <f>NOMINA[[#This Row],[TOTAL PERCEPCIONES]]-NOMINA[[#This Row],[TOTAL DEDUCCIONES]]</f>
        <v>13635.727927944001</v>
      </c>
      <c r="AE21" s="46"/>
      <c r="AH21" s="47"/>
      <c r="AI21" s="48"/>
    </row>
    <row r="22" spans="1:35" s="35" customFormat="1" x14ac:dyDescent="0.3">
      <c r="A22" s="44">
        <v>15</v>
      </c>
      <c r="B22" t="s">
        <v>46</v>
      </c>
      <c r="C22" s="35" t="s">
        <v>33</v>
      </c>
      <c r="D22" s="35" t="s">
        <v>34</v>
      </c>
      <c r="E22" s="35" t="s">
        <v>35</v>
      </c>
      <c r="F22" s="36">
        <v>7158.5454879999998</v>
      </c>
      <c r="G22" s="37">
        <v>919.44</v>
      </c>
      <c r="H22" s="37">
        <v>99.12</v>
      </c>
      <c r="I22" s="37">
        <v>0</v>
      </c>
      <c r="J22" s="37">
        <v>0</v>
      </c>
      <c r="K22" s="37">
        <v>493.8</v>
      </c>
      <c r="L22" s="37">
        <v>539.84</v>
      </c>
      <c r="M22" s="37">
        <v>779.06</v>
      </c>
      <c r="N22" s="45">
        <v>0</v>
      </c>
      <c r="O22" s="37">
        <f>((F22/15)*6+28.57)/2</f>
        <v>1445.9940976</v>
      </c>
      <c r="P22" s="37"/>
      <c r="Q22" s="37"/>
      <c r="R22" s="37">
        <f t="shared" si="0"/>
        <v>11435.7995856</v>
      </c>
      <c r="S22" s="45">
        <v>1072.5999999999999</v>
      </c>
      <c r="T22" s="38">
        <f>R22*0.07</f>
        <v>800.50597099200002</v>
      </c>
      <c r="U22" s="45">
        <v>0</v>
      </c>
      <c r="V22" s="45">
        <v>0</v>
      </c>
      <c r="W22" s="45">
        <v>0</v>
      </c>
      <c r="X22" s="45">
        <v>0</v>
      </c>
      <c r="Y22" s="45">
        <v>0</v>
      </c>
      <c r="Z22" s="45"/>
      <c r="AA22" s="45"/>
      <c r="AB22" s="39">
        <f t="shared" si="1"/>
        <v>1873.105970992</v>
      </c>
      <c r="AC22" s="51">
        <f>NOMINA[[#This Row],[TOTAL PERCEPCIONES]]-NOMINA[[#This Row],[TOTAL DEDUCCIONES]]</f>
        <v>9562.6936146080006</v>
      </c>
      <c r="AE22" s="46"/>
      <c r="AH22" s="47"/>
      <c r="AI22" s="48"/>
    </row>
    <row r="23" spans="1:35" s="35" customFormat="1" x14ac:dyDescent="0.3">
      <c r="A23" s="44">
        <v>16</v>
      </c>
      <c r="B23" t="s">
        <v>32</v>
      </c>
      <c r="C23" s="35" t="s">
        <v>33</v>
      </c>
      <c r="D23" s="35" t="s">
        <v>34</v>
      </c>
      <c r="E23" s="35" t="s">
        <v>35</v>
      </c>
      <c r="F23" s="36">
        <v>8188.1563480000013</v>
      </c>
      <c r="G23" s="37">
        <v>919.44</v>
      </c>
      <c r="H23" s="37">
        <v>99.12</v>
      </c>
      <c r="I23" s="37">
        <v>0</v>
      </c>
      <c r="J23" s="37">
        <v>0</v>
      </c>
      <c r="K23" s="37">
        <v>493.8</v>
      </c>
      <c r="L23" s="37">
        <v>539.84</v>
      </c>
      <c r="M23" s="37">
        <v>779.06</v>
      </c>
      <c r="N23" s="45">
        <v>0</v>
      </c>
      <c r="O23" s="37">
        <f>((NOMINA[[#This Row],[SUELDO]]/15)*6+28.57)/2</f>
        <v>1651.9162696000005</v>
      </c>
      <c r="P23" s="37"/>
      <c r="Q23" s="37"/>
      <c r="R23" s="37">
        <f t="shared" si="0"/>
        <v>12671.332617600001</v>
      </c>
      <c r="S23" s="45">
        <v>1336.5</v>
      </c>
      <c r="T23" s="38">
        <f>R23*0.07</f>
        <v>886.99328323200018</v>
      </c>
      <c r="U23" s="45">
        <v>0</v>
      </c>
      <c r="V23" s="45"/>
      <c r="W23" s="45">
        <v>0</v>
      </c>
      <c r="X23" s="45">
        <v>0</v>
      </c>
      <c r="Y23" s="45">
        <v>0</v>
      </c>
      <c r="Z23" s="45"/>
      <c r="AA23" s="45"/>
      <c r="AB23" s="39">
        <f t="shared" si="1"/>
        <v>2223.4932832320001</v>
      </c>
      <c r="AC23" s="51">
        <f>NOMINA[[#This Row],[TOTAL PERCEPCIONES]]-NOMINA[[#This Row],[TOTAL DEDUCCIONES]]</f>
        <v>10447.839334368</v>
      </c>
      <c r="AE23" s="46"/>
      <c r="AH23" s="47"/>
      <c r="AI23" s="48"/>
    </row>
    <row r="24" spans="1:35" s="35" customFormat="1" x14ac:dyDescent="0.3">
      <c r="A24" s="66">
        <v>17</v>
      </c>
      <c r="B24" t="s">
        <v>47</v>
      </c>
      <c r="C24" s="35" t="s">
        <v>33</v>
      </c>
      <c r="D24" s="35" t="s">
        <v>34</v>
      </c>
      <c r="E24" s="35" t="s">
        <v>35</v>
      </c>
      <c r="F24" s="36">
        <v>6377.9131520000001</v>
      </c>
      <c r="G24" s="37">
        <v>919.44</v>
      </c>
      <c r="H24" s="37">
        <v>99.12</v>
      </c>
      <c r="I24" s="37">
        <v>0</v>
      </c>
      <c r="J24" s="37">
        <v>272.39</v>
      </c>
      <c r="K24" s="37">
        <v>493.8</v>
      </c>
      <c r="L24" s="37">
        <v>539.84</v>
      </c>
      <c r="M24" s="37">
        <v>674.16</v>
      </c>
      <c r="N24" s="37">
        <v>393.26</v>
      </c>
      <c r="O24" s="37">
        <f>((NOMINA[[#This Row],[SUELDO]]/15)*6+28.57)/2</f>
        <v>1289.8676304000001</v>
      </c>
      <c r="P24" s="37"/>
      <c r="Q24" s="37"/>
      <c r="R24" s="37">
        <f t="shared" si="0"/>
        <v>11059.790782399999</v>
      </c>
      <c r="S24" s="37">
        <v>860.73</v>
      </c>
      <c r="T24" s="38">
        <f>R24*0.07</f>
        <v>774.18535476800002</v>
      </c>
      <c r="U24" s="37">
        <v>786.52</v>
      </c>
      <c r="V24" s="37">
        <v>100</v>
      </c>
      <c r="W24" s="37">
        <v>50</v>
      </c>
      <c r="X24" s="37">
        <v>162.91799999999998</v>
      </c>
      <c r="Y24" s="37">
        <v>1750</v>
      </c>
      <c r="Z24" s="37">
        <v>1000</v>
      </c>
      <c r="AA24" s="37">
        <v>500</v>
      </c>
      <c r="AB24" s="39">
        <f>SUM(S24:AA24)</f>
        <v>5984.3533547679999</v>
      </c>
      <c r="AC24" s="51">
        <f>NOMINA[[#This Row],[TOTAL PERCEPCIONES]]-NOMINA[[#This Row],[TOTAL DEDUCCIONES]]</f>
        <v>5075.4374276319995</v>
      </c>
      <c r="AD24" s="50"/>
      <c r="AE24" s="46"/>
      <c r="AF24" s="41"/>
      <c r="AG24" s="41"/>
      <c r="AH24" s="42"/>
      <c r="AI24" s="43"/>
    </row>
    <row r="25" spans="1:35" s="35" customFormat="1" x14ac:dyDescent="0.3">
      <c r="A25" s="67">
        <v>18</v>
      </c>
      <c r="B25" t="s">
        <v>48</v>
      </c>
      <c r="C25" s="35" t="s">
        <v>33</v>
      </c>
      <c r="D25" s="35" t="s">
        <v>49</v>
      </c>
      <c r="E25" s="35" t="s">
        <v>35</v>
      </c>
      <c r="F25" s="36">
        <v>6377.9131520000001</v>
      </c>
      <c r="G25" s="37">
        <v>919.44</v>
      </c>
      <c r="H25" s="37">
        <v>99.12</v>
      </c>
      <c r="I25" s="37">
        <v>0</v>
      </c>
      <c r="J25" s="37">
        <v>272.39</v>
      </c>
      <c r="K25" s="37">
        <v>493.8</v>
      </c>
      <c r="L25" s="37">
        <v>539.84</v>
      </c>
      <c r="M25" s="37">
        <v>0</v>
      </c>
      <c r="N25" s="37"/>
      <c r="O25" s="37">
        <f>((NOMINA[[#This Row],[SUELDO]]/15)*10+54.78)/2</f>
        <v>2153.3610506666664</v>
      </c>
      <c r="P25" s="37"/>
      <c r="Q25" s="37"/>
      <c r="R25" s="37">
        <f t="shared" si="0"/>
        <v>10855.864202666666</v>
      </c>
      <c r="S25" s="54">
        <v>0</v>
      </c>
      <c r="T25" s="54">
        <v>0</v>
      </c>
      <c r="U25" s="54">
        <v>0</v>
      </c>
      <c r="V25" s="54"/>
      <c r="W25" s="54">
        <v>0</v>
      </c>
      <c r="X25" s="54">
        <v>0</v>
      </c>
      <c r="Y25" s="54">
        <v>0</v>
      </c>
      <c r="Z25" s="54"/>
      <c r="AA25" s="54"/>
      <c r="AB25" s="39">
        <f t="shared" si="1"/>
        <v>0</v>
      </c>
      <c r="AC25" s="40">
        <f>NOMINA[[#This Row],[TOTAL PERCEPCIONES]]-NOMINA[[#This Row],[TOTAL DEDUCCIONES]]</f>
        <v>10855.864202666666</v>
      </c>
      <c r="AD25" s="41"/>
      <c r="AE25" s="46"/>
      <c r="AF25" s="41"/>
      <c r="AG25" s="41"/>
      <c r="AH25" s="42"/>
      <c r="AI25" s="43"/>
    </row>
    <row r="26" spans="1:35" s="35" customFormat="1" x14ac:dyDescent="0.3">
      <c r="A26" s="44">
        <v>20</v>
      </c>
      <c r="B26" t="s">
        <v>48</v>
      </c>
      <c r="C26" s="35" t="s">
        <v>33</v>
      </c>
      <c r="D26" s="35" t="s">
        <v>49</v>
      </c>
      <c r="E26" s="35" t="s">
        <v>35</v>
      </c>
      <c r="F26" s="36">
        <v>3738.0794000000001</v>
      </c>
      <c r="G26" s="49">
        <v>520.44000000000005</v>
      </c>
      <c r="H26" s="49">
        <v>56.11</v>
      </c>
      <c r="I26" s="37">
        <v>0</v>
      </c>
      <c r="J26" s="49">
        <v>154.18</v>
      </c>
      <c r="K26" s="49">
        <v>279.51</v>
      </c>
      <c r="L26" s="49">
        <v>305.58</v>
      </c>
      <c r="M26" s="49">
        <v>0</v>
      </c>
      <c r="N26" s="49">
        <v>222.6</v>
      </c>
      <c r="O26" s="37">
        <v>719.58</v>
      </c>
      <c r="P26" s="37"/>
      <c r="Q26" s="37"/>
      <c r="R26" s="37">
        <f t="shared" si="0"/>
        <v>5996.0794000000005</v>
      </c>
      <c r="S26" s="54">
        <v>0</v>
      </c>
      <c r="T26" s="54">
        <v>0</v>
      </c>
      <c r="U26" s="54">
        <v>0</v>
      </c>
      <c r="V26" s="54">
        <v>0</v>
      </c>
      <c r="W26" s="54">
        <v>0</v>
      </c>
      <c r="X26" s="54">
        <v>0</v>
      </c>
      <c r="Y26" s="54">
        <v>0</v>
      </c>
      <c r="Z26" s="54"/>
      <c r="AA26" s="54"/>
      <c r="AB26" s="39">
        <f t="shared" si="1"/>
        <v>0</v>
      </c>
      <c r="AC26" s="40">
        <f>NOMINA[[#This Row],[TOTAL PERCEPCIONES]]-NOMINA[[#This Row],[TOTAL DEDUCCIONES]]</f>
        <v>5996.0794000000005</v>
      </c>
      <c r="AE26" s="46"/>
      <c r="AI26" s="52"/>
    </row>
    <row r="27" spans="1:35" s="35" customFormat="1" x14ac:dyDescent="0.3">
      <c r="A27" s="68">
        <v>21</v>
      </c>
      <c r="B27" t="s">
        <v>50</v>
      </c>
      <c r="C27" s="35" t="s">
        <v>33</v>
      </c>
      <c r="D27" s="35" t="s">
        <v>34</v>
      </c>
      <c r="E27" s="35" t="s">
        <v>35</v>
      </c>
      <c r="F27" s="36">
        <v>6377.9131520000001</v>
      </c>
      <c r="G27" s="37">
        <v>919.44</v>
      </c>
      <c r="H27" s="37">
        <v>99.12</v>
      </c>
      <c r="I27" s="37">
        <v>3000</v>
      </c>
      <c r="J27" s="37">
        <v>272.39</v>
      </c>
      <c r="K27" s="37">
        <v>493.8</v>
      </c>
      <c r="L27" s="37">
        <v>539.84</v>
      </c>
      <c r="M27" s="37">
        <v>0</v>
      </c>
      <c r="N27" s="37">
        <v>393.26</v>
      </c>
      <c r="O27" s="37">
        <f>((NOMINA[[#This Row],[SUELDO]]/15)*7+38.1)/2</f>
        <v>1507.2297354666666</v>
      </c>
      <c r="P27" s="37"/>
      <c r="Q27" s="37"/>
      <c r="R27" s="37">
        <f t="shared" si="0"/>
        <v>13602.992887466664</v>
      </c>
      <c r="S27" s="37">
        <v>778.88</v>
      </c>
      <c r="T27" s="38">
        <f>R27*0.07</f>
        <v>952.20950212266655</v>
      </c>
      <c r="U27" s="37">
        <v>786.52</v>
      </c>
      <c r="V27" s="37">
        <v>100</v>
      </c>
      <c r="W27" s="37">
        <v>50</v>
      </c>
      <c r="X27" s="38">
        <v>315.83699999999999</v>
      </c>
      <c r="Y27" s="37">
        <v>0</v>
      </c>
      <c r="Z27" s="37"/>
      <c r="AA27" s="37"/>
      <c r="AB27" s="39">
        <f t="shared" si="1"/>
        <v>2983.4465021226665</v>
      </c>
      <c r="AC27" s="69">
        <f>NOMINA[[#This Row],[TOTAL PERCEPCIONES]]-NOMINA[[#This Row],[TOTAL DEDUCCIONES]]</f>
        <v>10619.546385343998</v>
      </c>
      <c r="AD27" s="41"/>
      <c r="AE27" s="46"/>
      <c r="AF27" s="41"/>
      <c r="AG27" s="41"/>
      <c r="AH27" s="42"/>
      <c r="AI27" s="43"/>
    </row>
    <row r="28" spans="1:35" s="74" customFormat="1" x14ac:dyDescent="0.3">
      <c r="A28" s="70" t="s">
        <v>51</v>
      </c>
      <c r="B28" s="71"/>
      <c r="C28" s="72"/>
      <c r="D28" s="72"/>
      <c r="E28" s="72" t="s">
        <v>52</v>
      </c>
      <c r="F28" s="72">
        <f>SUBTOTAL(109,NOMINA[SUELDO])</f>
        <v>120693.14412399998</v>
      </c>
      <c r="G28" s="72">
        <f>SUBTOTAL(109,NOMINA[CANASTA BASICA])</f>
        <v>15012.160000000005</v>
      </c>
      <c r="H28" s="72">
        <f>SUBTOTAL(109,NOMINA[[COMPENSACION ]])</f>
        <v>18066.209999999992</v>
      </c>
      <c r="I28" s="72">
        <f>SUBTOTAL(109,NOMINA[COMPENSACION EXTRAORIDNARIA])</f>
        <v>7822</v>
      </c>
      <c r="J28" s="72">
        <f>SUBTOTAL(109,NOMINA[PREVISION SOCIAL])</f>
        <v>1243.7399999999998</v>
      </c>
      <c r="K28" s="72">
        <f>SUBTOTAL(109,NOMINA[AYUDA P/R])</f>
        <v>6205.1100000000015</v>
      </c>
      <c r="L28" s="72">
        <f>SUBTOTAL(109,NOMINA[AYUDA P/T])</f>
        <v>5703.9800000000005</v>
      </c>
      <c r="M28" s="72">
        <f>SUBTOTAL(109,NOMINA[COMP. ALTO R.])</f>
        <v>3790.3999999999996</v>
      </c>
      <c r="N28" s="72">
        <f>SUBTOTAL(109,NOMINA[FONDO DE AHORRO])</f>
        <v>1402.38</v>
      </c>
      <c r="O28" s="72">
        <f>SUBTOTAL(109,NOMINA[QUINQUENIO])</f>
        <v>19596.542269066667</v>
      </c>
      <c r="P28" s="72">
        <f>SUBTOTAL(109,NOMINA[BONO DE CUMPLEAÑOS])</f>
        <v>0</v>
      </c>
      <c r="Q28" s="72">
        <f>SUBTOTAL(109,NOMINA[BONO DE CUMPLEAÑOS2])</f>
        <v>0</v>
      </c>
      <c r="R28" s="72">
        <f>SUBTOTAL(109,NOMINA[TOTAL PERCEPCIONES])</f>
        <v>199535.66639306667</v>
      </c>
      <c r="S28" s="72">
        <f>SUBTOTAL(109,NOMINA[ISR])</f>
        <v>13747.459999999997</v>
      </c>
      <c r="T28" s="72">
        <f>SUBTOTAL(109,NOMINA[CUOTA DE PENSIONES])</f>
        <v>13505.110890328004</v>
      </c>
      <c r="U28" s="72">
        <f>SUBTOTAL(109,NOMINA[F/AHORRO])</f>
        <v>2359.56</v>
      </c>
      <c r="V28" s="72">
        <f>SUBTOTAL(109,NOMINA[C.INTERNA])</f>
        <v>500</v>
      </c>
      <c r="W28" s="72">
        <f>SUBTOTAL(109,NOMINA[CUOTA SINDICAL])</f>
        <v>150</v>
      </c>
      <c r="X28" s="72">
        <f>SUBTOTAL(109,NOMINA[DESC. PPS])</f>
        <v>610.26</v>
      </c>
      <c r="Y28" s="72">
        <f>SUBTOTAL(109,NOMINA[PROGRESSA])</f>
        <v>3500</v>
      </c>
      <c r="Z28" s="72">
        <f>SUBTOTAL(109,NOMINA[ANTICIPO DE NOMINA])</f>
        <v>1000</v>
      </c>
      <c r="AA28" s="72">
        <f>SUBTOTAL(109,NOMINA[PRESTAMO F/AHORRO])</f>
        <v>500</v>
      </c>
      <c r="AB28" s="72">
        <f>SUBTOTAL(109,NOMINA[TOTAL DEDUCCIONES])</f>
        <v>35872.390890328003</v>
      </c>
      <c r="AC28" s="73">
        <f>SUM(AC6:AC27)</f>
        <v>163663.27550273866</v>
      </c>
      <c r="AD28" s="47"/>
      <c r="AE28" s="47"/>
      <c r="AF28" s="47"/>
      <c r="AG28" s="47"/>
      <c r="AH28" s="72"/>
      <c r="AI28" s="48"/>
    </row>
    <row r="29" spans="1:35" x14ac:dyDescent="0.3">
      <c r="H29" s="72"/>
      <c r="I29" s="72"/>
      <c r="J29" s="72"/>
      <c r="K29" s="75"/>
      <c r="R29" s="76">
        <f>(R6+R7+R8+R9+R10+R11+R13+R15+R18+R19+R20+R21+R22+R23+R24+R27+R14+R12+R16+R17)*0.139</f>
        <v>25393.037467865604</v>
      </c>
      <c r="T29" s="75"/>
      <c r="AB29" s="77"/>
      <c r="AC29" s="73">
        <f>AC28-AC26-AC9-AC14</f>
        <v>147729.11843593867</v>
      </c>
    </row>
    <row r="30" spans="1:35" ht="22.8" x14ac:dyDescent="0.4">
      <c r="K30" s="78"/>
      <c r="L30" s="79"/>
      <c r="M30" s="78"/>
      <c r="N30" s="78"/>
    </row>
    <row r="31" spans="1:35" ht="22.8" x14ac:dyDescent="0.4">
      <c r="K31" s="78"/>
      <c r="L31" s="79"/>
      <c r="M31" s="78"/>
      <c r="N31" s="78"/>
    </row>
    <row r="32" spans="1:35" ht="22.8" x14ac:dyDescent="0.4">
      <c r="K32" s="78"/>
      <c r="L32" s="78"/>
      <c r="M32" s="78"/>
      <c r="N32" s="78"/>
    </row>
    <row r="33" spans="11:14" ht="22.8" x14ac:dyDescent="0.4">
      <c r="K33" s="78"/>
      <c r="L33" s="78"/>
      <c r="M33" s="78"/>
      <c r="N33" s="78"/>
    </row>
    <row r="34" spans="11:14" ht="22.8" x14ac:dyDescent="0.4">
      <c r="K34" s="78"/>
      <c r="L34" s="78"/>
      <c r="M34" s="78"/>
      <c r="N34" s="78"/>
    </row>
    <row r="35" spans="11:14" ht="22.8" x14ac:dyDescent="0.4">
      <c r="K35" s="78"/>
      <c r="L35" s="78"/>
      <c r="M35" s="78"/>
      <c r="N35" s="78"/>
    </row>
    <row r="36" spans="11:14" ht="22.8" x14ac:dyDescent="0.4">
      <c r="K36" s="78"/>
      <c r="L36" s="78"/>
      <c r="M36" s="78"/>
      <c r="N36" s="78"/>
    </row>
  </sheetData>
  <mergeCells count="3">
    <mergeCell ref="A2:Y3"/>
    <mergeCell ref="AB2:AC2"/>
    <mergeCell ref="AD2:AH4"/>
  </mergeCells>
  <pageMargins left="0.23622047244094491" right="0.23622047244094491" top="0.74803149606299213" bottom="0.74803149606299213" header="0.31496062992125984" footer="0.31496062992125984"/>
  <pageSetup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2DA QNA SEPTIEMBRE </vt:lpstr>
      <vt:lpstr>'2DA QNA SEPTIEMBRE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2026-10-20T13:54:04Z</dcterms:created>
  <dcterms:modified xsi:type="dcterms:W3CDTF">2026-10-20T13:56:06Z</dcterms:modified>
</cp:coreProperties>
</file>